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570" windowHeight="8085"/>
  </bookViews>
  <sheets>
    <sheet name="Лист1" sheetId="1" r:id="rId1"/>
    <sheet name="Лист2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B22" i="6"/>
  <c r="E17" i="6" s="1"/>
  <c r="D24" i="1"/>
  <c r="E24" i="1" s="1"/>
  <c r="D25" i="1"/>
  <c r="E25" i="1" s="1"/>
  <c r="D19" i="1"/>
  <c r="E19" i="1" s="1"/>
  <c r="D21" i="1"/>
  <c r="E21" i="1" s="1"/>
  <c r="D22" i="1"/>
  <c r="E22" i="1" s="1"/>
  <c r="D20" i="1"/>
  <c r="E20" i="1" s="1"/>
  <c r="D18" i="1"/>
  <c r="E18" i="1" s="1"/>
  <c r="D17" i="1"/>
  <c r="E17" i="1" s="1"/>
  <c r="D16" i="1"/>
  <c r="E16" i="1" s="1"/>
  <c r="D23" i="1"/>
  <c r="E23" i="1" s="1"/>
</calcChain>
</file>

<file path=xl/sharedStrings.xml><?xml version="1.0" encoding="utf-8"?>
<sst xmlns="http://schemas.openxmlformats.org/spreadsheetml/2006/main" count="75" uniqueCount="69">
  <si>
    <t>Ehsani et al</t>
  </si>
  <si>
    <t>England et al1</t>
  </si>
  <si>
    <t>Green and King</t>
  </si>
  <si>
    <t>Mentzer</t>
  </si>
  <si>
    <t>Ricerca et al</t>
  </si>
  <si>
    <t>Shine and Lal</t>
  </si>
  <si>
    <t>Sirdah et al</t>
  </si>
  <si>
    <t>Srivastava and Bevington</t>
  </si>
  <si>
    <t>ЖДА</t>
  </si>
  <si>
    <t>&lt;15</t>
  </si>
  <si>
    <t>&lt;0</t>
  </si>
  <si>
    <t>&lt;65</t>
  </si>
  <si>
    <t>&lt;13</t>
  </si>
  <si>
    <t>&lt;4,4</t>
  </si>
  <si>
    <t>&lt;1,530</t>
  </si>
  <si>
    <t>&lt;27</t>
  </si>
  <si>
    <t>&lt;3,8</t>
  </si>
  <si>
    <t>M-H</t>
  </si>
  <si>
    <t>MicroR - %</t>
  </si>
  <si>
    <t>Hypo-He - %</t>
  </si>
  <si>
    <t>&gt;11,5</t>
  </si>
  <si>
    <t>&gt;-5,1</t>
  </si>
  <si>
    <t>ВВОД ДАННЫХ</t>
  </si>
  <si>
    <t>ИНТЕРПРЕТАЦИЯ</t>
  </si>
  <si>
    <t>ТАЛАССЕМИЯ</t>
  </si>
  <si>
    <t>&gt;15</t>
  </si>
  <si>
    <t>&gt;0</t>
  </si>
  <si>
    <t>&gt;65</t>
  </si>
  <si>
    <t>&gt;13</t>
  </si>
  <si>
    <t>&gt;4,4</t>
  </si>
  <si>
    <t>&gt;1,530</t>
  </si>
  <si>
    <t>&gt;27</t>
  </si>
  <si>
    <t>&gt;3,8</t>
  </si>
  <si>
    <t>&lt;11,5</t>
  </si>
  <si>
    <t>&lt;-5,1</t>
  </si>
  <si>
    <t xml:space="preserve">Введите значения в поле ВВОД ДАННЫХ. Индексы рассчитаются автоматически. </t>
  </si>
  <si>
    <t>В поле ИНТЕРПРЕТАЦИЯ вы получите предположительный диагноз.</t>
  </si>
  <si>
    <t>RBC (× 10^12/L)</t>
  </si>
  <si>
    <t>Hb (g/L)</t>
  </si>
  <si>
    <t>MCV  (fL)</t>
  </si>
  <si>
    <t>MCH  (pg)</t>
  </si>
  <si>
    <t>RDW %</t>
  </si>
  <si>
    <t>чувсвительность индекса, %</t>
  </si>
  <si>
    <t>специфичность индекса, %</t>
  </si>
  <si>
    <t>ИНДЕКСЫ</t>
  </si>
  <si>
    <t>РЕЗУЛЬТАТ</t>
  </si>
  <si>
    <t>Пороговые значения</t>
  </si>
  <si>
    <t>Тип гемоглобина</t>
  </si>
  <si>
    <t>HbA2</t>
  </si>
  <si>
    <t>HbF</t>
  </si>
  <si>
    <t>Нормальные значения</t>
  </si>
  <si>
    <t>Показатели высокоэффективной жидкостной хроматографии</t>
  </si>
  <si>
    <t>2-3%</t>
  </si>
  <si>
    <t>&lt;2%</t>
  </si>
  <si>
    <t>RBC score</t>
  </si>
  <si>
    <t>расчет RBC score</t>
  </si>
  <si>
    <t>RET#</t>
  </si>
  <si>
    <t>FRC%</t>
  </si>
  <si>
    <t>IRF</t>
  </si>
  <si>
    <t>2 ШАГ - RET REFLEX</t>
  </si>
  <si>
    <t>RDW-SD</t>
  </si>
  <si>
    <t>NRBC</t>
  </si>
  <si>
    <t>MCHC</t>
  </si>
  <si>
    <t>ШАГ 1</t>
  </si>
  <si>
    <t>Алгоритм для скрининга наследственных заболеваний крови с помощью современного ОАК</t>
  </si>
  <si>
    <t>Повышение HbA2 и HbF свидетельствует о бета-талассемии. Причем чем выше содержание аномальных фракций,</t>
  </si>
  <si>
    <t>тем выраженее форма талассемии.</t>
  </si>
  <si>
    <t>M-H-R (Индекс Уречаги)</t>
  </si>
  <si>
    <t>Ввод собственных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</si>
</sst>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D99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0" fillId="2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4" fillId="2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/>
    <xf numFmtId="0" fontId="5" fillId="5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FF"/>
      <color rgb="FFFFFD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33</xdr:row>
      <xdr:rowOff>144780</xdr:rowOff>
    </xdr:from>
    <xdr:to>
      <xdr:col>9</xdr:col>
      <xdr:colOff>2811</xdr:colOff>
      <xdr:row>59</xdr:row>
      <xdr:rowOff>41090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6370320"/>
          <a:ext cx="12103371" cy="4651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311814</xdr:colOff>
      <xdr:row>19</xdr:row>
      <xdr:rowOff>76201</xdr:rowOff>
    </xdr:from>
    <xdr:ext cx="7582505" cy="1675579"/>
    <xdr:pic>
      <xdr:nvPicPr>
        <xdr:cNvPr id="2" name="Picture 15">
          <a:extLst>
            <a:ext uri="{FF2B5EF4-FFF2-40B4-BE49-F238E27FC236}">
              <a16:creationId xmlns:a16="http://schemas.microsoft.com/office/drawing/2014/main" id="{D28D3310-B2F8-4DE6-B783-ACC19D61E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5" r="1714"/>
        <a:stretch/>
      </xdr:blipFill>
      <xdr:spPr>
        <a:xfrm>
          <a:off x="5615334" y="3566161"/>
          <a:ext cx="7582505" cy="16755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6" sqref="F6"/>
    </sheetView>
  </sheetViews>
  <sheetFormatPr defaultRowHeight="15" x14ac:dyDescent="0.25"/>
  <cols>
    <col min="1" max="1" width="25.28515625" customWidth="1"/>
    <col min="2" max="2" width="27.28515625" bestFit="1" customWidth="1"/>
    <col min="3" max="3" width="26.140625" bestFit="1" customWidth="1"/>
    <col min="4" max="4" width="15.5703125" customWidth="1"/>
    <col min="5" max="5" width="23.5703125" customWidth="1"/>
    <col min="6" max="6" width="27" customWidth="1"/>
    <col min="7" max="7" width="14.140625" customWidth="1"/>
  </cols>
  <sheetData>
    <row r="1" spans="1:7" ht="19.149999999999999" customHeight="1" x14ac:dyDescent="0.25">
      <c r="A1" s="21" t="s">
        <v>35</v>
      </c>
      <c r="B1" s="21"/>
      <c r="C1" s="21"/>
      <c r="D1" s="21"/>
      <c r="E1" s="21"/>
    </row>
    <row r="2" spans="1:7" ht="19.149999999999999" customHeight="1" x14ac:dyDescent="0.25">
      <c r="A2" s="21" t="s">
        <v>36</v>
      </c>
      <c r="B2" s="21"/>
      <c r="C2" s="21"/>
      <c r="D2" s="21"/>
      <c r="E2" s="21"/>
      <c r="F2" s="11"/>
    </row>
    <row r="3" spans="1:7" ht="15.75" thickBot="1" x14ac:dyDescent="0.3">
      <c r="C3" s="7" t="s">
        <v>22</v>
      </c>
      <c r="D3" s="7"/>
    </row>
    <row r="4" spans="1:7" x14ac:dyDescent="0.25">
      <c r="B4" s="1"/>
      <c r="C4" s="1" t="s">
        <v>37</v>
      </c>
      <c r="D4" s="23">
        <v>5.98</v>
      </c>
    </row>
    <row r="5" spans="1:7" x14ac:dyDescent="0.25">
      <c r="B5" s="1"/>
      <c r="C5" s="1" t="s">
        <v>38</v>
      </c>
      <c r="D5" s="24">
        <v>121</v>
      </c>
      <c r="F5" s="26"/>
    </row>
    <row r="6" spans="1:7" x14ac:dyDescent="0.25">
      <c r="B6" s="1"/>
      <c r="C6" s="1" t="s">
        <v>39</v>
      </c>
      <c r="D6" s="24">
        <v>60.9</v>
      </c>
      <c r="F6" t="s">
        <v>68</v>
      </c>
    </row>
    <row r="7" spans="1:7" x14ac:dyDescent="0.25">
      <c r="B7" s="1"/>
      <c r="C7" s="1" t="s">
        <v>40</v>
      </c>
      <c r="D7" s="24">
        <v>20.2</v>
      </c>
    </row>
    <row r="8" spans="1:7" x14ac:dyDescent="0.25">
      <c r="B8" s="1"/>
      <c r="C8" s="1" t="s">
        <v>41</v>
      </c>
      <c r="D8" s="24">
        <v>15.2</v>
      </c>
    </row>
    <row r="9" spans="1:7" x14ac:dyDescent="0.25">
      <c r="B9" s="1"/>
      <c r="C9" s="1" t="s">
        <v>18</v>
      </c>
      <c r="D9" s="24">
        <v>51.9</v>
      </c>
    </row>
    <row r="10" spans="1:7" ht="15.75" thickBot="1" x14ac:dyDescent="0.3">
      <c r="B10" s="1"/>
      <c r="C10" s="1" t="s">
        <v>19</v>
      </c>
      <c r="D10" s="25">
        <v>21.2</v>
      </c>
    </row>
    <row r="11" spans="1:7" x14ac:dyDescent="0.25">
      <c r="C11" s="4"/>
      <c r="D11" s="9"/>
      <c r="E11" s="9"/>
    </row>
    <row r="12" spans="1:7" x14ac:dyDescent="0.25">
      <c r="C12" s="1"/>
    </row>
    <row r="13" spans="1:7" x14ac:dyDescent="0.25">
      <c r="C13" s="1"/>
    </row>
    <row r="14" spans="1:7" x14ac:dyDescent="0.25">
      <c r="F14" s="22" t="s">
        <v>46</v>
      </c>
      <c r="G14" s="22"/>
    </row>
    <row r="15" spans="1:7" x14ac:dyDescent="0.25">
      <c r="A15" s="7" t="s">
        <v>44</v>
      </c>
      <c r="B15" s="7" t="s">
        <v>42</v>
      </c>
      <c r="C15" s="7" t="s">
        <v>43</v>
      </c>
      <c r="D15" s="7" t="s">
        <v>45</v>
      </c>
      <c r="E15" s="7" t="s">
        <v>23</v>
      </c>
      <c r="F15" s="5" t="s">
        <v>24</v>
      </c>
      <c r="G15" s="2" t="s">
        <v>8</v>
      </c>
    </row>
    <row r="16" spans="1:7" x14ac:dyDescent="0.25">
      <c r="A16" t="s">
        <v>0</v>
      </c>
      <c r="B16">
        <v>87.2</v>
      </c>
      <c r="C16">
        <v>88.9</v>
      </c>
      <c r="D16" s="14">
        <f>IF(AND(D6&lt;&gt;"",D4&lt;&gt;""),D6-(10*D4))</f>
        <v>1.0999999999999943</v>
      </c>
      <c r="E16" s="3" t="str">
        <f>IF(ISNUMBER(D16),IF(AND(D16&lt;=15),"Талассемия","ЖДА"),"-")</f>
        <v>Талассемия</v>
      </c>
      <c r="F16" t="s">
        <v>9</v>
      </c>
      <c r="G16" t="s">
        <v>25</v>
      </c>
    </row>
    <row r="17" spans="1:7" x14ac:dyDescent="0.25">
      <c r="A17" t="s">
        <v>1</v>
      </c>
      <c r="B17">
        <v>78.599999999999994</v>
      </c>
      <c r="C17">
        <v>98.4</v>
      </c>
      <c r="D17" s="14">
        <f>IF(AND(D6&lt;&gt;"",D4&lt;&gt;"",D5&lt;&gt;""),D6-D4-5*D5-3.4)</f>
        <v>-553.48</v>
      </c>
      <c r="E17" s="3" t="str">
        <f t="shared" ref="E17" si="0">IF(ISNUMBER(D17),IF(AND(D17&lt;=0),"Талассемия","ЖДА"),"-")</f>
        <v>Талассемия</v>
      </c>
      <c r="F17" t="s">
        <v>10</v>
      </c>
      <c r="G17" t="s">
        <v>26</v>
      </c>
    </row>
    <row r="18" spans="1:7" x14ac:dyDescent="0.25">
      <c r="A18" t="s">
        <v>2</v>
      </c>
      <c r="B18">
        <v>91</v>
      </c>
      <c r="C18">
        <v>99.1</v>
      </c>
      <c r="D18" s="14">
        <f>IF(AND(D6&lt;&gt;"",D8&lt;&gt;"",D5&lt;&gt;""),D6^2*D8/100*D5)</f>
        <v>68212.433519999991</v>
      </c>
      <c r="E18" s="8" t="str">
        <f>IF(ISNUMBER(D18),IF(AND(D18&lt;=65),"Талассемия","ЖДА"),"-")</f>
        <v>ЖДА</v>
      </c>
      <c r="F18" t="s">
        <v>11</v>
      </c>
      <c r="G18" t="s">
        <v>27</v>
      </c>
    </row>
    <row r="19" spans="1:7" x14ac:dyDescent="0.25">
      <c r="A19" t="s">
        <v>3</v>
      </c>
      <c r="B19">
        <v>94.3</v>
      </c>
      <c r="C19">
        <v>84.2</v>
      </c>
      <c r="D19" s="14">
        <f>IF(AND(D6&lt;&gt;"",D4&lt;&gt;""),D6/D4)</f>
        <v>10.183946488294314</v>
      </c>
      <c r="E19" s="3" t="str">
        <f>IF(ISNUMBER(D19),IF(AND(D19&lt;=13),"Талассемия","ЖДА"),"-")</f>
        <v>Талассемия</v>
      </c>
      <c r="F19" t="s">
        <v>12</v>
      </c>
      <c r="G19" t="s">
        <v>28</v>
      </c>
    </row>
    <row r="20" spans="1:7" x14ac:dyDescent="0.25">
      <c r="A20" t="s">
        <v>4</v>
      </c>
      <c r="B20">
        <v>100</v>
      </c>
      <c r="C20">
        <v>13.7</v>
      </c>
      <c r="D20" s="14">
        <f>IF(AND(D8&lt;&gt;"",D4&lt;&gt;""),D8/D4)</f>
        <v>2.5418060200668893</v>
      </c>
      <c r="E20" s="3" t="str">
        <f>IF(ISNUMBER(D20),IF(AND(D20&lt;=4.4),"Талассемия","ЖДА"),"-")</f>
        <v>Талассемия</v>
      </c>
      <c r="F20" t="s">
        <v>13</v>
      </c>
      <c r="G20" t="s">
        <v>29</v>
      </c>
    </row>
    <row r="21" spans="1:7" x14ac:dyDescent="0.25">
      <c r="A21" t="s">
        <v>5</v>
      </c>
      <c r="B21">
        <v>100</v>
      </c>
      <c r="C21">
        <v>13.3</v>
      </c>
      <c r="D21" s="14">
        <f>IF(AND(D6&lt;&gt;"",D7&lt;&gt;""),D6^2*D7*0.01)</f>
        <v>749.17962</v>
      </c>
      <c r="E21" s="8" t="str">
        <f>IF(ISNUMBER(D21),IF(AND(D21&lt;=1.53),"Талассемия","ЖДА"),"-")</f>
        <v>ЖДА</v>
      </c>
      <c r="F21" t="s">
        <v>14</v>
      </c>
      <c r="G21" t="s">
        <v>30</v>
      </c>
    </row>
    <row r="22" spans="1:7" x14ac:dyDescent="0.25">
      <c r="A22" t="s">
        <v>6</v>
      </c>
      <c r="B22">
        <v>81.3</v>
      </c>
      <c r="C22">
        <v>97.9</v>
      </c>
      <c r="D22" s="14">
        <f>IF(AND(D6&lt;&gt;"",D4&lt;&gt;"",D5&lt;&gt;""),D6-D4-3*D5)</f>
        <v>-308.08</v>
      </c>
      <c r="E22" s="3" t="str">
        <f>IF(ISNUMBER(D22),IF(AND(D22&lt;=27),"Талассемия","ЖДА"),"-")</f>
        <v>Талассемия</v>
      </c>
      <c r="F22" t="s">
        <v>15</v>
      </c>
      <c r="G22" t="s">
        <v>31</v>
      </c>
    </row>
    <row r="23" spans="1:7" x14ac:dyDescent="0.25">
      <c r="A23" t="s">
        <v>7</v>
      </c>
      <c r="B23">
        <v>70.8</v>
      </c>
      <c r="C23">
        <v>91.3</v>
      </c>
      <c r="D23" s="14">
        <f>D7/D4</f>
        <v>3.3779264214046818</v>
      </c>
      <c r="E23" s="3" t="str">
        <f>IF(ISNUMBER(D23),IF(AND(D23&lt;=3.8),"Талассемия","ЖДА"),"-")</f>
        <v>Талассемия</v>
      </c>
      <c r="F23" t="s">
        <v>16</v>
      </c>
      <c r="G23" t="s">
        <v>32</v>
      </c>
    </row>
    <row r="24" spans="1:7" x14ac:dyDescent="0.25">
      <c r="A24" t="s">
        <v>17</v>
      </c>
      <c r="B24">
        <v>97.4</v>
      </c>
      <c r="C24">
        <v>96</v>
      </c>
      <c r="D24" s="14">
        <f>IF(AND(D9&lt;&gt;"",D10&lt;&gt;""),D9-D10,"-")</f>
        <v>30.7</v>
      </c>
      <c r="E24" s="8" t="str">
        <f>IF(ISNUMBER(D24),IF(AND(D24&gt;=11.5),"Талассемия","ЖДА"),"-")</f>
        <v>Талассемия</v>
      </c>
      <c r="F24" t="s">
        <v>20</v>
      </c>
      <c r="G24" t="s">
        <v>33</v>
      </c>
    </row>
    <row r="25" spans="1:7" x14ac:dyDescent="0.25">
      <c r="A25" s="10" t="s">
        <v>67</v>
      </c>
      <c r="B25" s="10">
        <v>98.1</v>
      </c>
      <c r="C25" s="10">
        <v>97.1</v>
      </c>
      <c r="D25" s="14">
        <f>IF(AND(D8&lt;&gt;"",D9&lt;&gt;"",D10&lt;&gt;""),D9-D10-D8,"-")</f>
        <v>15.5</v>
      </c>
      <c r="E25" s="8" t="str">
        <f>IF(ISNUMBER(D25),IF(AND(D25&gt;=-5.1),"Талассемия","ЖДА"),"-")</f>
        <v>Талассемия</v>
      </c>
      <c r="F25" t="s">
        <v>21</v>
      </c>
      <c r="G25" t="s">
        <v>34</v>
      </c>
    </row>
    <row r="26" spans="1:7" ht="16.899999999999999" customHeight="1" x14ac:dyDescent="0.25">
      <c r="A26" s="4"/>
      <c r="B26" s="4"/>
      <c r="C26" s="4"/>
      <c r="D26" s="3"/>
    </row>
    <row r="28" spans="1:7" ht="15.75" x14ac:dyDescent="0.25">
      <c r="A28" s="16" t="s">
        <v>51</v>
      </c>
      <c r="B28" s="9"/>
      <c r="C28" s="9"/>
    </row>
    <row r="29" spans="1:7" x14ac:dyDescent="0.25">
      <c r="A29" s="13" t="s">
        <v>47</v>
      </c>
      <c r="B29" s="13" t="s">
        <v>50</v>
      </c>
    </row>
    <row r="30" spans="1:7" ht="16.149999999999999" customHeight="1" x14ac:dyDescent="0.25">
      <c r="A30" s="12" t="s">
        <v>48</v>
      </c>
      <c r="B30" s="12" t="s">
        <v>52</v>
      </c>
      <c r="D30" s="1" t="s">
        <v>65</v>
      </c>
    </row>
    <row r="31" spans="1:7" x14ac:dyDescent="0.25">
      <c r="A31" s="12" t="s">
        <v>49</v>
      </c>
      <c r="B31" s="12" t="s">
        <v>53</v>
      </c>
      <c r="D31" s="1" t="s">
        <v>66</v>
      </c>
      <c r="F31" s="9"/>
      <c r="G31" s="9"/>
    </row>
    <row r="33" spans="1:3" x14ac:dyDescent="0.25">
      <c r="A33" s="6"/>
      <c r="B33" s="6"/>
      <c r="C33" s="6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6"/>
      <c r="B46" s="6"/>
      <c r="C46" s="6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</sheetData>
  <mergeCells count="3">
    <mergeCell ref="A2:E2"/>
    <mergeCell ref="A1:E1"/>
    <mergeCell ref="F14:G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E26" sqref="E26"/>
    </sheetView>
  </sheetViews>
  <sheetFormatPr defaultRowHeight="15" x14ac:dyDescent="0.25"/>
  <cols>
    <col min="1" max="1" width="23" customWidth="1"/>
    <col min="5" max="5" width="18.7109375" customWidth="1"/>
  </cols>
  <sheetData>
    <row r="1" spans="1:16" ht="15.75" x14ac:dyDescent="0.25">
      <c r="E1" s="20" t="s">
        <v>64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9"/>
    </row>
    <row r="3" spans="1:16" x14ac:dyDescent="0.25">
      <c r="A3" s="6"/>
      <c r="E3" s="6"/>
    </row>
    <row r="4" spans="1:16" x14ac:dyDescent="0.25">
      <c r="A4" s="1"/>
      <c r="E4" s="1"/>
    </row>
    <row r="5" spans="1:16" x14ac:dyDescent="0.25">
      <c r="A5" s="1"/>
    </row>
    <row r="6" spans="1:16" x14ac:dyDescent="0.25">
      <c r="A6" s="6"/>
    </row>
    <row r="7" spans="1:16" x14ac:dyDescent="0.25">
      <c r="A7" s="18" t="s">
        <v>63</v>
      </c>
      <c r="C7" s="15"/>
      <c r="E7" s="18" t="s">
        <v>23</v>
      </c>
    </row>
    <row r="8" spans="1:16" x14ac:dyDescent="0.25">
      <c r="A8" s="18" t="s">
        <v>22</v>
      </c>
      <c r="E8" s="1" t="str">
        <f>IF(AND(B11&gt;365),"истинное повышение MCHC",IF(AND(B11&lt;=365,B9&lt;12.9,B12&lt;=0.9),"OTHERS",IF(AND(B11&lt;=365,B9&lt;12.9,B12&gt;0.9,B11&gt;338),"2 ШАГ - RET REFLEX",IF(AND(B11&lt;=365,B9&gt;=12.9,B13&gt;=38.5,B11&gt;330),"2 ЩАГ - RET REFLEX",IF(AND(B11&lt;=365,B9&gt;=12.9,B13&gt;=38.5,B11&lt;=330),"IDA",IF(AND(B11&lt;=365,B9&gt;=12.9,B13&lt;38.5),"аномалии HGB"))))))</f>
        <v>2 ШАГ - RET REFLEX</v>
      </c>
    </row>
    <row r="9" spans="1:16" x14ac:dyDescent="0.25">
      <c r="A9" s="1" t="s">
        <v>18</v>
      </c>
      <c r="B9">
        <v>11.2</v>
      </c>
    </row>
    <row r="10" spans="1:16" x14ac:dyDescent="0.25">
      <c r="A10" s="1" t="s">
        <v>19</v>
      </c>
      <c r="B10">
        <v>23</v>
      </c>
    </row>
    <row r="11" spans="1:16" x14ac:dyDescent="0.25">
      <c r="A11" s="1" t="s">
        <v>62</v>
      </c>
      <c r="B11">
        <v>350</v>
      </c>
    </row>
    <row r="12" spans="1:16" x14ac:dyDescent="0.25">
      <c r="A12" s="1" t="s">
        <v>61</v>
      </c>
      <c r="B12">
        <v>1.1000000000000001</v>
      </c>
    </row>
    <row r="13" spans="1:16" x14ac:dyDescent="0.25">
      <c r="A13" s="1" t="s">
        <v>60</v>
      </c>
      <c r="B13">
        <v>38.700000000000003</v>
      </c>
    </row>
    <row r="14" spans="1:16" x14ac:dyDescent="0.25">
      <c r="A14" s="1"/>
    </row>
    <row r="15" spans="1:16" x14ac:dyDescent="0.25">
      <c r="A15" s="1"/>
    </row>
    <row r="16" spans="1:16" x14ac:dyDescent="0.25">
      <c r="A16" s="18" t="s">
        <v>59</v>
      </c>
      <c r="E16" s="18" t="s">
        <v>23</v>
      </c>
    </row>
    <row r="17" spans="1:5" x14ac:dyDescent="0.25">
      <c r="A17" s="18" t="s">
        <v>22</v>
      </c>
      <c r="E17" s="1" t="str">
        <f>IF(AND(B22&gt;=0.15,B18&gt;=20),"SCD",IF(AND(B22&gt;=0.15,B18&lt;20),"HS",IF(AND(B22&lt;0.15,B10/B9&gt;=1.5),"SAO",IF(AND(B22&lt;0.15,B10/B9&lt;1.5),"OTHERS"))))</f>
        <v>SAO</v>
      </c>
    </row>
    <row r="18" spans="1:5" x14ac:dyDescent="0.25">
      <c r="A18" s="1" t="s">
        <v>58</v>
      </c>
    </row>
    <row r="19" spans="1:5" x14ac:dyDescent="0.25">
      <c r="A19" s="1" t="s">
        <v>57</v>
      </c>
    </row>
    <row r="20" spans="1:5" x14ac:dyDescent="0.25">
      <c r="A20" s="4" t="s">
        <v>56</v>
      </c>
    </row>
    <row r="21" spans="1:5" x14ac:dyDescent="0.25">
      <c r="A21" s="17" t="s">
        <v>55</v>
      </c>
    </row>
    <row r="22" spans="1:5" x14ac:dyDescent="0.25">
      <c r="A22" s="1" t="s">
        <v>54</v>
      </c>
      <c r="B22">
        <f>1/(1+EXP(-(-7.6055+1.5873*B19+0.0402*B20)))</f>
        <v>4.9745891748686274E-4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 Kuptsova</dc:creator>
  <cp:lastModifiedBy>Соколов-Воропаев Алексей Анатольевич</cp:lastModifiedBy>
  <dcterms:created xsi:type="dcterms:W3CDTF">2015-06-05T18:19:34Z</dcterms:created>
  <dcterms:modified xsi:type="dcterms:W3CDTF">2025-10-15T08:24:29Z</dcterms:modified>
</cp:coreProperties>
</file>